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<sst xmlns="http://schemas.openxmlformats.org/spreadsheetml/2006/main" count="760" uniqueCount="170">
  <si>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</si>
  <si>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</si>
  <si>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</si>
  <si>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</si>
  <si>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</si>
  <si>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</si>
  <si>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</si>
  <si>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</si>
  <si>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</si>
  <si>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</si>
  <si>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</si>
  <si>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</si>
  <si>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</si>
  <si>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</si>
  <si>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</si>
  <si>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</si>
  <si>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</si>
  <si>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</si>
  <si>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</si>
  <si>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</si>
  <si>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</si>
  <si>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</si>
  <si>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</si>
  <si>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</si>
  <si>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</si>
  <si>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</si>
  <si>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</si>
  <si>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</si>
  <si>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</si>
  <si>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</si>
  <si>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</si>
  <si>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</si>
  <si>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</si>
  <si>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</si>
  <si>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</si>
  <si>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</si>
  <si>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</si>
  <si>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</si>
  <si>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</si>
  <si>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</si>
  <si>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</si>
  <si>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</si>
  <si>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</si>
  <si>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</si>
  <si>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</si>
  <si>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</si>
  <si>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</si>
  <si>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</si>
  <si>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</si>
  <si>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</si>
  <si>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</si>
  <si>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</si>
  <si>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</si>
  <si>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</si>
  <si>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</si>
  <si>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</si>
  <si>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</si>
  <si>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</si>
  <si>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</si>
  <si>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</si>
  <si>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</si>
  <si>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</si>
  <si>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</si>
  <si>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</si>
  <si>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</si>
  <si>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</si>
  <si>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</si>
  <si>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</si>
  <si>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</si>
  <si>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</si>
  <si>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</si>
  <si>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</si>
  <si>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</si>
  <si>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</si>
  <si>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</si>
  <si>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</si>
  <si>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</si>
  <si>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</si>
  <si>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</si>
  <si>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</si>
  <si>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</si>
  <si>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</si>
  <si>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</si>
  <si>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</si>
  <si>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</si>
  <si>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</si>
  <si>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</si>
  <si>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</si>
  <si>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</si>
  <si>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</si>
  <si>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</si>
  <si>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</si>
  <si>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</si>
  <si>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</si>
  <si>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</si>
  <si>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</si>
  <si>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</si>
  <si>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</si>
  <si>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</si>
  <si>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</si>
  <si>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</si>
  <si>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</si>
  <si>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</si>
  <si>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</si>
  <si>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</si>
  <si>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</si>
  <si>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</si>
  <si>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</si>
  <si>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</si>
  <si>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</si>
  <si>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</si>
  <si>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</si>
  <si>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</si>
  <si>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</si>
  <si>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</si>
  <si>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</si>
  <si>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</si>
  <si>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</si>
  <si>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</si>
  <si>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</si>
  <si>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</si>
  <si>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</si>
  <si>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</si>
  <si>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</si>
  <si>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</si>
  <si>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</si>
  <si>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</si>
  <si>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</si>
  <si>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</si>
  <si>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</si>
  <si>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</si>
  <si>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</si>
  <si>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</si>
  <si>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</si>
  <si>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</si>
  <si>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</si>
  <si>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</si>
  <si>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</si>
  <si>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</si>
  <si>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</si>
  <si>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</si>
  <si>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</si>
  <si>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</si>
  <si>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</si>
  <si>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</si>
  <si>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</si>
  <si>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</si>
  <si>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</si>
  <si>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</si>
  <si>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</si>
  <si>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</si>
  <si>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</si>
  <si>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</si>
  <si>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</si>
  <si>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</si>
  <si>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</si>
  <si>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</si>
  <si>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</si>
  <si>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</si>
  <si>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</si>
  <si>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</si>
  <si>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</si>
  <si>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</si>
  <si>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</si>
  <si>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</si>
  <si>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</si>
  <si>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</si>
  <si>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</si>
  <si>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26.05.2016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</si>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</sst>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7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5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6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7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8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78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77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7" zoomScaleNormal="87" zoomScalePageLayoutView="0" workbookViewId="0" topLeftCell="B1">
      <pane xSplit="2" ySplit="8" topLeftCell="D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162</v>
      </c>
      <c r="N3" s="279" t="s">
        <v>163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158</v>
      </c>
      <c r="F4" s="262" t="s">
        <v>34</v>
      </c>
      <c r="G4" s="256" t="s">
        <v>159</v>
      </c>
      <c r="H4" s="264" t="s">
        <v>160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169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161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351106.77999999997</v>
      </c>
      <c r="G8" s="191">
        <f aca="true" t="shared" si="0" ref="G8:G21">F8-E8</f>
        <v>-1329.7000000000116</v>
      </c>
      <c r="H8" s="192">
        <f>F8/E8*100</f>
        <v>99.62271215510948</v>
      </c>
      <c r="I8" s="193">
        <f>F8-D8</f>
        <v>-489943.22000000003</v>
      </c>
      <c r="J8" s="193">
        <f>F8/D8*100</f>
        <v>41.74624338624338</v>
      </c>
      <c r="K8" s="191">
        <f>F8-252732.09</f>
        <v>98374.68999999997</v>
      </c>
      <c r="L8" s="191">
        <f>F8/252732.09*100</f>
        <v>138.92449510467785</v>
      </c>
      <c r="M8" s="191">
        <f>M9+M15+M18+M19+M20+M36+M17</f>
        <v>80761.80000000002</v>
      </c>
      <c r="N8" s="191">
        <f>N9+N15+N18+N19+N20+N36+N17</f>
        <v>56976.15</v>
      </c>
      <c r="O8" s="191">
        <f>N8-M8</f>
        <v>-23785.650000000016</v>
      </c>
      <c r="P8" s="191">
        <f>N8/M8*100</f>
        <v>70.54839045192156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186387.71</v>
      </c>
      <c r="G9" s="190">
        <f t="shared" si="0"/>
        <v>3485.4400000000023</v>
      </c>
      <c r="H9" s="197">
        <f>F9/E9*100</f>
        <v>101.90562971143005</v>
      </c>
      <c r="I9" s="198">
        <f>F9-D9</f>
        <v>-273312.29000000004</v>
      </c>
      <c r="J9" s="198">
        <f>F9/D9*100</f>
        <v>40.54551011529258</v>
      </c>
      <c r="K9" s="199">
        <f>F9-138082.5</f>
        <v>48305.20999999999</v>
      </c>
      <c r="L9" s="199">
        <f>F9/138082.5*100</f>
        <v>134.9828616950012</v>
      </c>
      <c r="M9" s="197">
        <f>E9-квітень!E9</f>
        <v>37119</v>
      </c>
      <c r="N9" s="200">
        <f>F9-квітень!F9</f>
        <v>28349.910000000003</v>
      </c>
      <c r="O9" s="201">
        <f>N9-M9</f>
        <v>-8769.089999999997</v>
      </c>
      <c r="P9" s="198">
        <f>N9/M9*100</f>
        <v>76.37573749292817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163831.98</v>
      </c>
      <c r="G10" s="109">
        <f t="shared" si="0"/>
        <v>1986.140000000014</v>
      </c>
      <c r="H10" s="32">
        <f aca="true" t="shared" si="1" ref="H10:H35">F10/E10*100</f>
        <v>101.22718013635692</v>
      </c>
      <c r="I10" s="110">
        <f aca="true" t="shared" si="2" ref="I10:I36">F10-D10</f>
        <v>-247608.02</v>
      </c>
      <c r="J10" s="110">
        <f aca="true" t="shared" si="3" ref="J10:J35">F10/D10*100</f>
        <v>39.8191668286992</v>
      </c>
      <c r="K10" s="112">
        <f>F10-122193.74</f>
        <v>41638.240000000005</v>
      </c>
      <c r="L10" s="112">
        <f>F10/122193.74*100</f>
        <v>134.07559176108367</v>
      </c>
      <c r="M10" s="111">
        <f>E10-квітень!E10</f>
        <v>30929</v>
      </c>
      <c r="N10" s="179">
        <f>F10-квітень!F10</f>
        <v>26015.99000000002</v>
      </c>
      <c r="O10" s="112">
        <f aca="true" t="shared" si="4" ref="O10:O36">N10-M10</f>
        <v>-4913.00999999998</v>
      </c>
      <c r="P10" s="198">
        <f aca="true" t="shared" si="5" ref="P10:P16">N10/M10*100</f>
        <v>84.11519932749206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13079</v>
      </c>
      <c r="G11" s="109">
        <f t="shared" si="0"/>
        <v>514.0599999999995</v>
      </c>
      <c r="H11" s="32">
        <f t="shared" si="1"/>
        <v>104.0912252664955</v>
      </c>
      <c r="I11" s="110">
        <f t="shared" si="2"/>
        <v>-9921</v>
      </c>
      <c r="J11" s="110">
        <f t="shared" si="3"/>
        <v>56.86521739130435</v>
      </c>
      <c r="K11" s="112">
        <f>F11-7771.39</f>
        <v>5307.61</v>
      </c>
      <c r="L11" s="112">
        <f>F11/7771.39*100</f>
        <v>168.2967911789268</v>
      </c>
      <c r="M11" s="111">
        <f>E11-квітень!E11</f>
        <v>3930</v>
      </c>
      <c r="N11" s="179">
        <f>F11-квітень!F11</f>
        <v>1591.4599999999991</v>
      </c>
      <c r="O11" s="112">
        <f t="shared" si="4"/>
        <v>-2338.540000000001</v>
      </c>
      <c r="P11" s="198">
        <f t="shared" si="5"/>
        <v>40.49516539440201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4523.71</v>
      </c>
      <c r="G12" s="109">
        <f t="shared" si="0"/>
        <v>2303.1</v>
      </c>
      <c r="H12" s="32">
        <f t="shared" si="1"/>
        <v>203.71474504753198</v>
      </c>
      <c r="I12" s="110">
        <f t="shared" si="2"/>
        <v>-1976.29</v>
      </c>
      <c r="J12" s="110">
        <f t="shared" si="3"/>
        <v>69.59553846153847</v>
      </c>
      <c r="K12" s="112">
        <f>F12-2169.03</f>
        <v>2354.68</v>
      </c>
      <c r="L12" s="112">
        <f>F12/2169.03*100</f>
        <v>208.5591255077154</v>
      </c>
      <c r="M12" s="111">
        <f>E12-квітень!E12</f>
        <v>530.0000000000002</v>
      </c>
      <c r="N12" s="179">
        <f>F12-квітень!F12</f>
        <v>427.27999999999975</v>
      </c>
      <c r="O12" s="112">
        <f t="shared" si="4"/>
        <v>-102.72000000000048</v>
      </c>
      <c r="P12" s="198">
        <f t="shared" si="5"/>
        <v>80.61886792452822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3527.77</v>
      </c>
      <c r="G13" s="109">
        <f t="shared" si="0"/>
        <v>-237.07000000000016</v>
      </c>
      <c r="H13" s="32">
        <f t="shared" si="1"/>
        <v>93.70305245375633</v>
      </c>
      <c r="I13" s="110">
        <f t="shared" si="2"/>
        <v>-8872.23</v>
      </c>
      <c r="J13" s="110">
        <f t="shared" si="3"/>
        <v>28.44975806451613</v>
      </c>
      <c r="K13" s="112">
        <f>F13-2303.67</f>
        <v>1224.1</v>
      </c>
      <c r="L13" s="112">
        <f>F13/2303.67*100</f>
        <v>153.13695103899428</v>
      </c>
      <c r="M13" s="111">
        <f>E13-квітень!E13</f>
        <v>1100</v>
      </c>
      <c r="N13" s="179">
        <f>F13-квітень!F13</f>
        <v>316.28999999999996</v>
      </c>
      <c r="O13" s="112">
        <f t="shared" si="4"/>
        <v>-783.71</v>
      </c>
      <c r="P13" s="198">
        <f t="shared" si="5"/>
        <v>28.75363636363636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1425.25</v>
      </c>
      <c r="G14" s="109">
        <f t="shared" si="0"/>
        <v>-1080.79</v>
      </c>
      <c r="H14" s="32">
        <f t="shared" si="1"/>
        <v>56.872595808526604</v>
      </c>
      <c r="I14" s="110">
        <f t="shared" si="2"/>
        <v>-4934.75</v>
      </c>
      <c r="J14" s="110">
        <f t="shared" si="3"/>
        <v>22.409591194968552</v>
      </c>
      <c r="K14" s="112">
        <f>F14-3644.66</f>
        <v>-2219.41</v>
      </c>
      <c r="L14" s="112">
        <f>F14/3644.66*100</f>
        <v>39.10515658525075</v>
      </c>
      <c r="M14" s="111">
        <f>E14-квітень!E14</f>
        <v>630</v>
      </c>
      <c r="N14" s="179">
        <f>F14-квітень!F14</f>
        <v>-1.1099999999999</v>
      </c>
      <c r="O14" s="112">
        <f t="shared" si="4"/>
        <v>-631.1099999999999</v>
      </c>
      <c r="P14" s="198">
        <f t="shared" si="5"/>
        <v>-0.1761904761904603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31846.22</v>
      </c>
      <c r="G19" s="190">
        <f t="shared" si="0"/>
        <v>-6214.18</v>
      </c>
      <c r="H19" s="197">
        <f t="shared" si="1"/>
        <v>83.67284631795778</v>
      </c>
      <c r="I19" s="198">
        <f t="shared" si="2"/>
        <v>-78053.78</v>
      </c>
      <c r="J19" s="198">
        <f t="shared" si="3"/>
        <v>28.977452229299367</v>
      </c>
      <c r="K19" s="209">
        <f>F19-23140.48</f>
        <v>8705.740000000002</v>
      </c>
      <c r="L19" s="209">
        <f>F19/23140.48*100</f>
        <v>137.62125936886358</v>
      </c>
      <c r="M19" s="197">
        <f>E19-квітень!E19</f>
        <v>9500</v>
      </c>
      <c r="N19" s="200">
        <f>F19-квітень!F19</f>
        <v>5827.59</v>
      </c>
      <c r="O19" s="201">
        <f t="shared" si="4"/>
        <v>-3672.41</v>
      </c>
      <c r="P19" s="198">
        <f>N19/M19*100</f>
        <v>61.343052631578956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132457.63999999998</v>
      </c>
      <c r="G20" s="190">
        <f t="shared" si="0"/>
        <v>1228.8299999999872</v>
      </c>
      <c r="H20" s="197">
        <f t="shared" si="1"/>
        <v>100.93640260854303</v>
      </c>
      <c r="I20" s="198">
        <f t="shared" si="2"/>
        <v>-138482.36000000002</v>
      </c>
      <c r="J20" s="198">
        <f t="shared" si="3"/>
        <v>48.88818188528825</v>
      </c>
      <c r="K20" s="198">
        <f>F20-88353.34</f>
        <v>44104.29999999999</v>
      </c>
      <c r="L20" s="198">
        <f>F20/88353.34*100</f>
        <v>149.91809024989885</v>
      </c>
      <c r="M20" s="197">
        <f>M21+M29+M30+M31</f>
        <v>34027.80000000001</v>
      </c>
      <c r="N20" s="200">
        <f>F20-квітень!F20</f>
        <v>22675.12999999999</v>
      </c>
      <c r="O20" s="201">
        <f t="shared" si="4"/>
        <v>-11352.67000000002</v>
      </c>
      <c r="P20" s="198">
        <f>N20/M20*100</f>
        <v>66.6370732166052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64190.94</v>
      </c>
      <c r="G21" s="190">
        <f t="shared" si="0"/>
        <v>-905.3199999999997</v>
      </c>
      <c r="H21" s="197">
        <f t="shared" si="1"/>
        <v>98.60925957958261</v>
      </c>
      <c r="I21" s="198">
        <f t="shared" si="2"/>
        <v>-97209.06</v>
      </c>
      <c r="J21" s="198">
        <f t="shared" si="3"/>
        <v>39.77133828996283</v>
      </c>
      <c r="K21" s="198">
        <f>F21-45791.35</f>
        <v>18399.590000000004</v>
      </c>
      <c r="L21" s="198">
        <f>F21/45791.35*100</f>
        <v>140.18136613137636</v>
      </c>
      <c r="M21" s="197">
        <f>M22+M25+M26</f>
        <v>13410</v>
      </c>
      <c r="N21" s="200">
        <f>F21-квітень!F21</f>
        <v>6154.690000000002</v>
      </c>
      <c r="O21" s="201">
        <f t="shared" si="4"/>
        <v>-7255.309999999998</v>
      </c>
      <c r="P21" s="198">
        <f>N21/M21*100</f>
        <v>45.89627143922448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8540.14</v>
      </c>
      <c r="G22" s="212">
        <f aca="true" t="shared" si="6" ref="G22:G29">F22-E22</f>
        <v>168.53999999999905</v>
      </c>
      <c r="H22" s="214">
        <f t="shared" si="1"/>
        <v>102.01323522385206</v>
      </c>
      <c r="I22" s="215">
        <f t="shared" si="2"/>
        <v>-9959.86</v>
      </c>
      <c r="J22" s="215">
        <f t="shared" si="3"/>
        <v>46.16291891891892</v>
      </c>
      <c r="K22" s="216">
        <f>F22-4439.46</f>
        <v>4100.679999999999</v>
      </c>
      <c r="L22" s="216">
        <f>F22/4439.46*100</f>
        <v>192.36889171205505</v>
      </c>
      <c r="M22" s="214">
        <f>E22-квітень!E22</f>
        <v>1740</v>
      </c>
      <c r="N22" s="217">
        <f>F22-квітень!F22</f>
        <v>126.93000000000029</v>
      </c>
      <c r="O22" s="218">
        <f t="shared" si="4"/>
        <v>-1613.0699999999997</v>
      </c>
      <c r="P22" s="215">
        <f>N22/M22*100</f>
        <v>7.294827586206913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2">
        <v>2000</v>
      </c>
      <c r="E23" s="242">
        <v>349.1</v>
      </c>
      <c r="F23" s="203">
        <v>263.27</v>
      </c>
      <c r="G23" s="242">
        <f t="shared" si="6"/>
        <v>-85.83000000000004</v>
      </c>
      <c r="H23" s="244">
        <f t="shared" si="1"/>
        <v>75.4139215124606</v>
      </c>
      <c r="I23" s="245">
        <f t="shared" si="2"/>
        <v>-1736.73</v>
      </c>
      <c r="J23" s="245">
        <f t="shared" si="3"/>
        <v>13.1635</v>
      </c>
      <c r="K23" s="243"/>
      <c r="L23" s="243"/>
      <c r="M23" s="204"/>
      <c r="N23" s="217"/>
      <c r="O23" s="240"/>
      <c r="P23" s="240"/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2">
        <v>16500</v>
      </c>
      <c r="E24" s="242">
        <f>6522.5+1500</f>
        <v>8022.5</v>
      </c>
      <c r="F24" s="203">
        <v>8276.87</v>
      </c>
      <c r="G24" s="242">
        <f t="shared" si="6"/>
        <v>254.3700000000008</v>
      </c>
      <c r="H24" s="244">
        <f t="shared" si="1"/>
        <v>103.17070738547835</v>
      </c>
      <c r="I24" s="245">
        <f t="shared" si="2"/>
        <v>-8223.13</v>
      </c>
      <c r="J24" s="245">
        <f t="shared" si="3"/>
        <v>50.16284848484849</v>
      </c>
      <c r="K24" s="243"/>
      <c r="L24" s="243"/>
      <c r="M24" s="204"/>
      <c r="N24" s="217"/>
      <c r="O24" s="240"/>
      <c r="P24" s="240"/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395.08</v>
      </c>
      <c r="G25" s="212">
        <f t="shared" si="6"/>
        <v>118.24000000000001</v>
      </c>
      <c r="H25" s="214">
        <f t="shared" si="1"/>
        <v>142.7105909550643</v>
      </c>
      <c r="I25" s="215">
        <f t="shared" si="2"/>
        <v>-2404.92</v>
      </c>
      <c r="J25" s="215">
        <f t="shared" si="3"/>
        <v>14.11</v>
      </c>
      <c r="K25" s="215">
        <f>F25-173.09</f>
        <v>221.98999999999998</v>
      </c>
      <c r="L25" s="215">
        <f>F25/173.09*100</f>
        <v>228.251198798313</v>
      </c>
      <c r="M25" s="214">
        <f>E25-квітень!E23</f>
        <v>0</v>
      </c>
      <c r="N25" s="217">
        <f>F25-квітень!F23</f>
        <v>8.5</v>
      </c>
      <c r="O25" s="218">
        <f t="shared" si="4"/>
        <v>8.5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55255.72</v>
      </c>
      <c r="G26" s="212">
        <f t="shared" si="6"/>
        <v>-1192.0999999999985</v>
      </c>
      <c r="H26" s="214">
        <f t="shared" si="1"/>
        <v>97.88813810701636</v>
      </c>
      <c r="I26" s="215">
        <f t="shared" si="2"/>
        <v>-84844.28</v>
      </c>
      <c r="J26" s="215">
        <f t="shared" si="3"/>
        <v>39.44019985724483</v>
      </c>
      <c r="K26" s="216">
        <f>F26-41178.8</f>
        <v>14076.919999999998</v>
      </c>
      <c r="L26" s="216">
        <f>F26/41178.8*100</f>
        <v>134.18487182725093</v>
      </c>
      <c r="M26" s="214">
        <f>E26-квітень!E24</f>
        <v>11670</v>
      </c>
      <c r="N26" s="217">
        <f>F26-квітень!F24</f>
        <v>6019.260000000002</v>
      </c>
      <c r="O26" s="218">
        <f t="shared" si="4"/>
        <v>-5650.739999999998</v>
      </c>
      <c r="P26" s="215">
        <f>N26/M26*100</f>
        <v>51.57892030848331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2">
        <v>38057</v>
      </c>
      <c r="E27" s="242">
        <v>15844.05</v>
      </c>
      <c r="F27" s="203">
        <v>16787.95</v>
      </c>
      <c r="G27" s="242">
        <f t="shared" si="6"/>
        <v>943.9000000000015</v>
      </c>
      <c r="H27" s="244">
        <f t="shared" si="1"/>
        <v>105.95744143700634</v>
      </c>
      <c r="I27" s="245">
        <f t="shared" si="2"/>
        <v>-21269.05</v>
      </c>
      <c r="J27" s="245">
        <f t="shared" si="3"/>
        <v>44.112646819244816</v>
      </c>
      <c r="K27" s="241"/>
      <c r="L27" s="241"/>
      <c r="M27" s="239"/>
      <c r="N27" s="217"/>
      <c r="O27" s="240"/>
      <c r="P27" s="240"/>
      <c r="Q27" s="113"/>
      <c r="R27" s="114"/>
    </row>
    <row r="28" spans="1:18" s="6" customFormat="1" ht="18" hidden="1">
      <c r="A28" s="8"/>
      <c r="B28" s="237" t="s">
        <v>167</v>
      </c>
      <c r="C28" s="238"/>
      <c r="D28" s="242">
        <v>10043</v>
      </c>
      <c r="E28" s="242">
        <v>40603.77</v>
      </c>
      <c r="F28" s="203">
        <v>38467.77</v>
      </c>
      <c r="G28" s="242">
        <f t="shared" si="6"/>
        <v>-2136</v>
      </c>
      <c r="H28" s="244">
        <f t="shared" si="1"/>
        <v>94.73940474000321</v>
      </c>
      <c r="I28" s="245">
        <f t="shared" si="2"/>
        <v>28424.769999999997</v>
      </c>
      <c r="J28" s="245">
        <f t="shared" si="3"/>
        <v>383.0306681270536</v>
      </c>
      <c r="K28" s="241"/>
      <c r="L28" s="241"/>
      <c r="M28" s="239"/>
      <c r="N28" s="217"/>
      <c r="O28" s="240"/>
      <c r="P28" s="240"/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6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7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68325.28</v>
      </c>
      <c r="G31" s="202">
        <f t="shared" si="7"/>
        <v>2223.2399999999907</v>
      </c>
      <c r="H31" s="204">
        <f t="shared" si="1"/>
        <v>103.36334551853466</v>
      </c>
      <c r="I31" s="205">
        <f t="shared" si="2"/>
        <v>-41137.72</v>
      </c>
      <c r="J31" s="205">
        <f t="shared" si="3"/>
        <v>62.4186072006066</v>
      </c>
      <c r="K31" s="219">
        <f>F31-42734.29</f>
        <v>25590.989999999998</v>
      </c>
      <c r="L31" s="219">
        <f>F31/42734.29*100</f>
        <v>159.88397139627216</v>
      </c>
      <c r="M31" s="197">
        <f>E31-квітень!E27</f>
        <v>20606.80000000001</v>
      </c>
      <c r="N31" s="200">
        <f>F31-квітень!F27</f>
        <v>16504.72</v>
      </c>
      <c r="O31" s="207">
        <f t="shared" si="4"/>
        <v>-4102.080000000009</v>
      </c>
      <c r="P31" s="205">
        <f>N31/M31*100</f>
        <v>80.09356134868099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7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17436.94</v>
      </c>
      <c r="G33" s="109">
        <f t="shared" si="7"/>
        <v>680.9699999999975</v>
      </c>
      <c r="H33" s="111">
        <f t="shared" si="1"/>
        <v>104.064044039229</v>
      </c>
      <c r="I33" s="110">
        <f t="shared" si="2"/>
        <v>-10163.060000000001</v>
      </c>
      <c r="J33" s="110">
        <f t="shared" si="3"/>
        <v>63.17731884057971</v>
      </c>
      <c r="K33" s="142">
        <f>F33-10825.45</f>
        <v>6611.489999999998</v>
      </c>
      <c r="L33" s="142">
        <f>F33/10825.45*100</f>
        <v>161.07358123680768</v>
      </c>
      <c r="M33" s="111">
        <f>E33-квітень!E29</f>
        <v>5500.000000000002</v>
      </c>
      <c r="N33" s="179">
        <f>F33-квітень!F29</f>
        <v>4952.1799999999985</v>
      </c>
      <c r="O33" s="112">
        <f t="shared" si="4"/>
        <v>-547.8200000000033</v>
      </c>
      <c r="P33" s="110">
        <f>N33/M33*100</f>
        <v>90.0396363636363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50874.15</v>
      </c>
      <c r="G34" s="109">
        <f t="shared" si="7"/>
        <v>1538.0699999999997</v>
      </c>
      <c r="H34" s="111">
        <f t="shared" si="1"/>
        <v>103.11753588854242</v>
      </c>
      <c r="I34" s="110">
        <f t="shared" si="2"/>
        <v>-30937.85</v>
      </c>
      <c r="J34" s="110">
        <f t="shared" si="3"/>
        <v>62.18421502958002</v>
      </c>
      <c r="K34" s="142">
        <f>F34-31903.08</f>
        <v>18971.07</v>
      </c>
      <c r="L34" s="142">
        <f>F34/31903.08*100</f>
        <v>159.46469745240898</v>
      </c>
      <c r="M34" s="111">
        <f>E34-квітень!E30</f>
        <v>15100</v>
      </c>
      <c r="N34" s="179">
        <f>F34-квітень!F30</f>
        <v>11552.54</v>
      </c>
      <c r="O34" s="112">
        <f t="shared" si="4"/>
        <v>-3547.459999999999</v>
      </c>
      <c r="P34" s="110">
        <f>N34/M34*100</f>
        <v>76.50688741721855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7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7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22402.46</v>
      </c>
      <c r="G37" s="191">
        <f>G38+G39+G40+G41+G42+G44+G46+G47+G48+G49+G50+G55+G56+G60</f>
        <v>4588.629999999998</v>
      </c>
      <c r="H37" s="192">
        <f>F37/E37*100</f>
        <v>125.80683022379364</v>
      </c>
      <c r="I37" s="193">
        <f>F37-D37</f>
        <v>-20417.54</v>
      </c>
      <c r="J37" s="193">
        <f>F37/D37*100</f>
        <v>52.31774871555348</v>
      </c>
      <c r="K37" s="191">
        <f>F37-12995.52</f>
        <v>9406.939999999999</v>
      </c>
      <c r="L37" s="191">
        <f>F37/12995.52*100</f>
        <v>172.3860222599788</v>
      </c>
      <c r="M37" s="191">
        <f>M38+M39+M40+M41+M42+M44+M46+M47+M48+M49+M50+M55+M56+M60</f>
        <v>3561</v>
      </c>
      <c r="N37" s="191">
        <f>N38+N39+N40+N41+N42+N44+N46+N47+N48+N49+N50+N55+N56+N60+N43</f>
        <v>5641.815999999999</v>
      </c>
      <c r="O37" s="191">
        <f>O38+O39+O40+O41+O42+O44+O46+O47+O48+O49+O50+O55+O56+O60</f>
        <v>2080.816</v>
      </c>
      <c r="P37" s="191">
        <f>N37/M37*100</f>
        <v>158.4334737433305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8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9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0" ref="G39:G62">F39-E39</f>
        <v>4561.73</v>
      </c>
      <c r="H39" s="204">
        <f t="shared" si="8"/>
        <v>182.38631027632292</v>
      </c>
      <c r="I39" s="205">
        <f aca="true" t="shared" si="11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2" ref="O39:O62">N39-M39</f>
        <v>2345.3199999999997</v>
      </c>
      <c r="P39" s="205">
        <f t="shared" si="9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0"/>
        <v>-63.92999999999999</v>
      </c>
      <c r="H40" s="204">
        <f t="shared" si="8"/>
        <v>30.085301837270347</v>
      </c>
      <c r="I40" s="205">
        <f t="shared" si="11"/>
        <v>-372.49</v>
      </c>
      <c r="J40" s="205">
        <f aca="true" t="shared" si="13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2"/>
        <v>-20</v>
      </c>
      <c r="P40" s="205">
        <f t="shared" si="9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0"/>
        <v>0.1</v>
      </c>
      <c r="H41" s="204"/>
      <c r="I41" s="205">
        <f t="shared" si="11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2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0"/>
        <v>0.3999999999999986</v>
      </c>
      <c r="H42" s="204">
        <f t="shared" si="8"/>
        <v>100.8</v>
      </c>
      <c r="I42" s="205">
        <f t="shared" si="11"/>
        <v>-99.6</v>
      </c>
      <c r="J42" s="205">
        <f t="shared" si="13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2"/>
        <v>6.199999999999996</v>
      </c>
      <c r="P42" s="205">
        <f t="shared" si="9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0"/>
        <v>6.8</v>
      </c>
      <c r="H43" s="204"/>
      <c r="I43" s="205">
        <f t="shared" si="11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58.84</v>
      </c>
      <c r="G44" s="202">
        <f t="shared" si="10"/>
        <v>26.840000000000003</v>
      </c>
      <c r="H44" s="204">
        <f t="shared" si="8"/>
        <v>183.875</v>
      </c>
      <c r="I44" s="205">
        <f t="shared" si="11"/>
        <v>-31.159999999999997</v>
      </c>
      <c r="J44" s="205">
        <f t="shared" si="13"/>
        <v>65.37777777777778</v>
      </c>
      <c r="K44" s="205">
        <f>F44-0</f>
        <v>58.84</v>
      </c>
      <c r="L44" s="205"/>
      <c r="M44" s="204">
        <f>E44-квітень!E40</f>
        <v>8</v>
      </c>
      <c r="N44" s="208">
        <f>F44-квітень!F40</f>
        <v>58.84</v>
      </c>
      <c r="O44" s="207">
        <f t="shared" si="12"/>
        <v>50.84</v>
      </c>
      <c r="P44" s="205">
        <f t="shared" si="9"/>
        <v>735.5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3785.48</v>
      </c>
      <c r="G46" s="202">
        <f t="shared" si="10"/>
        <v>46.460000000000036</v>
      </c>
      <c r="H46" s="204">
        <f t="shared" si="8"/>
        <v>101.24257158292815</v>
      </c>
      <c r="I46" s="205">
        <f t="shared" si="11"/>
        <v>-6114.52</v>
      </c>
      <c r="J46" s="205">
        <f t="shared" si="13"/>
        <v>38.23717171717172</v>
      </c>
      <c r="K46" s="205">
        <f>F46-4115.54</f>
        <v>-330.05999999999995</v>
      </c>
      <c r="L46" s="205">
        <f>F46/4115.54*100</f>
        <v>91.98015327271756</v>
      </c>
      <c r="M46" s="204">
        <f>E46-квітень!E42</f>
        <v>800</v>
      </c>
      <c r="N46" s="208">
        <f>F46-квітень!F42</f>
        <v>584.0700000000002</v>
      </c>
      <c r="O46" s="207">
        <f t="shared" si="12"/>
        <v>-215.92999999999984</v>
      </c>
      <c r="P46" s="205">
        <f t="shared" si="9"/>
        <v>73.00875000000002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28.27</v>
      </c>
      <c r="G47" s="202">
        <f t="shared" si="10"/>
        <v>-491.73</v>
      </c>
      <c r="H47" s="204">
        <f t="shared" si="8"/>
        <v>5.436538461538461</v>
      </c>
      <c r="I47" s="205">
        <f t="shared" si="11"/>
        <v>-1471.73</v>
      </c>
      <c r="J47" s="205">
        <f t="shared" si="13"/>
        <v>1.8846666666666667</v>
      </c>
      <c r="K47" s="205">
        <f>F47-0</f>
        <v>28.27</v>
      </c>
      <c r="L47" s="205"/>
      <c r="M47" s="204">
        <f>E47-квітень!E43</f>
        <v>130</v>
      </c>
      <c r="N47" s="208">
        <f>F47-квітень!F43</f>
        <v>26.9</v>
      </c>
      <c r="O47" s="207">
        <f t="shared" si="12"/>
        <v>-103.1</v>
      </c>
      <c r="P47" s="205">
        <f t="shared" si="9"/>
        <v>20.69230769230769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6.34</v>
      </c>
      <c r="G48" s="202">
        <f t="shared" si="10"/>
        <v>-9.66</v>
      </c>
      <c r="H48" s="204">
        <f t="shared" si="8"/>
        <v>39.625</v>
      </c>
      <c r="I48" s="205">
        <f t="shared" si="11"/>
        <v>-43.66</v>
      </c>
      <c r="J48" s="205">
        <f t="shared" si="13"/>
        <v>12.68</v>
      </c>
      <c r="K48" s="205">
        <f>F48-0</f>
        <v>6.34</v>
      </c>
      <c r="L48" s="205"/>
      <c r="M48" s="204">
        <f>E48-квітень!E44</f>
        <v>4</v>
      </c>
      <c r="N48" s="208">
        <f>F48-квітень!F44</f>
        <v>6.34</v>
      </c>
      <c r="O48" s="207">
        <f t="shared" si="12"/>
        <v>2.34</v>
      </c>
      <c r="P48" s="205">
        <f t="shared" si="9"/>
        <v>158.5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0"/>
        <v>-11.990000000000236</v>
      </c>
      <c r="H49" s="204">
        <f t="shared" si="8"/>
        <v>99.63844486057963</v>
      </c>
      <c r="I49" s="205">
        <f t="shared" si="11"/>
        <v>-5195.76</v>
      </c>
      <c r="J49" s="205">
        <f t="shared" si="13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2"/>
        <v>22.891999999999825</v>
      </c>
      <c r="P49" s="205">
        <f t="shared" si="9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2477.58</v>
      </c>
      <c r="G50" s="202">
        <f t="shared" si="10"/>
        <v>-75.61000000000013</v>
      </c>
      <c r="H50" s="204">
        <f t="shared" si="8"/>
        <v>97.03860660585384</v>
      </c>
      <c r="I50" s="205">
        <f t="shared" si="11"/>
        <v>-4822.42</v>
      </c>
      <c r="J50" s="205">
        <f t="shared" si="13"/>
        <v>33.93945205479452</v>
      </c>
      <c r="K50" s="205">
        <f>F50-3368.6</f>
        <v>-891.02</v>
      </c>
      <c r="L50" s="205">
        <f>F50/3368.6*100</f>
        <v>73.54924894614973</v>
      </c>
      <c r="M50" s="204">
        <f>E50-квітень!E46</f>
        <v>539</v>
      </c>
      <c r="N50" s="208">
        <f>F50-квітень!F46</f>
        <v>478.8399999999999</v>
      </c>
      <c r="O50" s="207">
        <f t="shared" si="12"/>
        <v>-60.16000000000008</v>
      </c>
      <c r="P50" s="205">
        <f t="shared" si="9"/>
        <v>88.83858998144711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349.92</v>
      </c>
      <c r="G51" s="36">
        <f t="shared" si="10"/>
        <v>-17.069999999999993</v>
      </c>
      <c r="H51" s="32">
        <f t="shared" si="8"/>
        <v>95.34864710210088</v>
      </c>
      <c r="I51" s="110">
        <f t="shared" si="11"/>
        <v>-750.0799999999999</v>
      </c>
      <c r="J51" s="110">
        <f t="shared" si="13"/>
        <v>31.81090909090909</v>
      </c>
      <c r="K51" s="110">
        <f>F51-397.7</f>
        <v>-47.77999999999997</v>
      </c>
      <c r="L51" s="110">
        <f>F51/397.7*100</f>
        <v>87.98591903444807</v>
      </c>
      <c r="M51" s="111">
        <f>E51-квітень!E47</f>
        <v>78</v>
      </c>
      <c r="N51" s="179">
        <f>F51-квітень!F47</f>
        <v>114.50000000000003</v>
      </c>
      <c r="O51" s="112">
        <f t="shared" si="12"/>
        <v>36.50000000000003</v>
      </c>
      <c r="P51" s="132">
        <f t="shared" si="9"/>
        <v>146.79487179487182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0"/>
        <v>-3.81</v>
      </c>
      <c r="H52" s="32">
        <f t="shared" si="8"/>
        <v>5.693069306930694</v>
      </c>
      <c r="I52" s="110">
        <f t="shared" si="11"/>
        <v>-44.77</v>
      </c>
      <c r="J52" s="110">
        <f t="shared" si="13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2"/>
        <v>-0.9199999999999999</v>
      </c>
      <c r="P52" s="132">
        <f t="shared" si="9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</v>
      </c>
      <c r="G53" s="36">
        <f t="shared" si="10"/>
        <v>0</v>
      </c>
      <c r="H53" s="32"/>
      <c r="I53" s="110">
        <f t="shared" si="11"/>
        <v>-1</v>
      </c>
      <c r="J53" s="110">
        <f t="shared" si="13"/>
        <v>0</v>
      </c>
      <c r="K53" s="110">
        <f>F53-0.73</f>
        <v>-0.73</v>
      </c>
      <c r="L53" s="110">
        <f>F53/0.73*100</f>
        <v>0</v>
      </c>
      <c r="M53" s="111">
        <f>E53-квітень!E49</f>
        <v>0</v>
      </c>
      <c r="N53" s="179">
        <f>F53-квітень!F49</f>
        <v>0</v>
      </c>
      <c r="O53" s="112">
        <f t="shared" si="12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2127.44</v>
      </c>
      <c r="G54" s="36">
        <f t="shared" si="10"/>
        <v>-54.73000000000002</v>
      </c>
      <c r="H54" s="32">
        <f t="shared" si="8"/>
        <v>97.49194609035959</v>
      </c>
      <c r="I54" s="110">
        <f t="shared" si="11"/>
        <v>-4026.56</v>
      </c>
      <c r="J54" s="110">
        <f t="shared" si="13"/>
        <v>34.570035749106275</v>
      </c>
      <c r="K54" s="110">
        <f>F54-2925.43</f>
        <v>-797.9899999999998</v>
      </c>
      <c r="L54" s="110">
        <f>F54/2925.43*100</f>
        <v>72.7223006532373</v>
      </c>
      <c r="M54" s="111">
        <f>E54-квітень!E50</f>
        <v>460</v>
      </c>
      <c r="N54" s="179">
        <f>F54-квітень!F50</f>
        <v>364.28</v>
      </c>
      <c r="O54" s="112">
        <f t="shared" si="12"/>
        <v>-95.72000000000003</v>
      </c>
      <c r="P54" s="132">
        <f t="shared" si="9"/>
        <v>79.19130434782609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0"/>
        <v>2.29</v>
      </c>
      <c r="H55" s="204">
        <f t="shared" si="8"/>
        <v>1447.0588235294117</v>
      </c>
      <c r="I55" s="205">
        <f t="shared" si="11"/>
        <v>-7.54</v>
      </c>
      <c r="J55" s="205">
        <f t="shared" si="13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2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2274.49</v>
      </c>
      <c r="G56" s="202">
        <f t="shared" si="10"/>
        <v>406.50999999999976</v>
      </c>
      <c r="H56" s="204">
        <f t="shared" si="8"/>
        <v>121.76201029989613</v>
      </c>
      <c r="I56" s="205">
        <f t="shared" si="11"/>
        <v>-2525.51</v>
      </c>
      <c r="J56" s="205">
        <f t="shared" si="13"/>
        <v>47.38520833333333</v>
      </c>
      <c r="K56" s="205">
        <f>F56-1827.87</f>
        <v>446.6199999999999</v>
      </c>
      <c r="L56" s="205">
        <f>F56/1827.87*100</f>
        <v>124.43390394284057</v>
      </c>
      <c r="M56" s="204">
        <f>E56-квітень!E52</f>
        <v>390</v>
      </c>
      <c r="N56" s="208">
        <f>F56-квітень!F52</f>
        <v>300.02999999999975</v>
      </c>
      <c r="O56" s="207">
        <f t="shared" si="12"/>
        <v>-89.97000000000025</v>
      </c>
      <c r="P56" s="205">
        <f t="shared" si="9"/>
        <v>76.93076923076917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0"/>
        <v>0</v>
      </c>
      <c r="H57" s="204" t="e">
        <f t="shared" si="8"/>
        <v>#DIV/0!</v>
      </c>
      <c r="I57" s="205">
        <f t="shared" si="11"/>
        <v>0</v>
      </c>
      <c r="J57" s="205" t="e">
        <f t="shared" si="13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2"/>
        <v>0</v>
      </c>
      <c r="P57" s="205" t="e">
        <f t="shared" si="9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477.1</v>
      </c>
      <c r="G58" s="202"/>
      <c r="H58" s="204"/>
      <c r="I58" s="205"/>
      <c r="J58" s="205"/>
      <c r="K58" s="206">
        <f>F58-430.9</f>
        <v>46.200000000000045</v>
      </c>
      <c r="L58" s="206">
        <f>F58/430.9*100</f>
        <v>110.72174518449758</v>
      </c>
      <c r="M58" s="236"/>
      <c r="N58" s="220">
        <f>F58-квітень!F54</f>
        <v>89.74000000000001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0"/>
        <v>0</v>
      </c>
      <c r="H59" s="204"/>
      <c r="I59" s="205">
        <f t="shared" si="11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2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0"/>
        <v>21.049999999999997</v>
      </c>
      <c r="H60" s="204">
        <f t="shared" si="8"/>
        <v>205.24999999999997</v>
      </c>
      <c r="I60" s="205">
        <f t="shared" si="11"/>
        <v>21.049999999999997</v>
      </c>
      <c r="J60" s="205">
        <f t="shared" si="13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2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0"/>
        <v>3.619999999999999</v>
      </c>
      <c r="H61" s="204">
        <f t="shared" si="8"/>
        <v>136.56565656565655</v>
      </c>
      <c r="I61" s="205">
        <f t="shared" si="11"/>
        <v>-16.48</v>
      </c>
      <c r="J61" s="205">
        <f t="shared" si="13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2"/>
        <v>-2.290000000000001</v>
      </c>
      <c r="P61" s="205">
        <f t="shared" si="9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0"/>
        <v>0.4</v>
      </c>
      <c r="H62" s="204"/>
      <c r="I62" s="205">
        <f t="shared" si="11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2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373523.16000000003</v>
      </c>
      <c r="G63" s="191">
        <f>F63-E63</f>
        <v>3269.75</v>
      </c>
      <c r="H63" s="192">
        <f>F63/E63*100</f>
        <v>100.88311138039214</v>
      </c>
      <c r="I63" s="193">
        <f>F63-D63</f>
        <v>-510377.43999999994</v>
      </c>
      <c r="J63" s="193">
        <f>F63/D63*100</f>
        <v>42.25850282260246</v>
      </c>
      <c r="K63" s="193">
        <f>F63-265734.15</f>
        <v>107789.01000000001</v>
      </c>
      <c r="L63" s="193">
        <f>F63/265734.15*100</f>
        <v>140.5627240608706</v>
      </c>
      <c r="M63" s="191">
        <f>M8+M37+M61+M62</f>
        <v>84325.10000000002</v>
      </c>
      <c r="N63" s="191">
        <f>N8+N37+N61+N62</f>
        <v>62618.016</v>
      </c>
      <c r="O63" s="195">
        <f>N63-M63</f>
        <v>-21707.084000000017</v>
      </c>
      <c r="P63" s="193">
        <f>N63/M63*100</f>
        <v>74.25786153826084</v>
      </c>
      <c r="Q63" s="28">
        <f>N63-34768</f>
        <v>27850.016000000003</v>
      </c>
      <c r="R63" s="128">
        <f>N63/34768</f>
        <v>1.8010243902439025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4" ref="G72:G82">F72-E72</f>
        <v>128.97000000000003</v>
      </c>
      <c r="H72" s="204"/>
      <c r="I72" s="207">
        <f aca="true" t="shared" si="15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6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688.13</v>
      </c>
      <c r="G73" s="202">
        <f t="shared" si="14"/>
        <v>-1262.98</v>
      </c>
      <c r="H73" s="204">
        <f>F73/E73*100</f>
        <v>35.26864195252959</v>
      </c>
      <c r="I73" s="207">
        <f t="shared" si="15"/>
        <v>-6770.87</v>
      </c>
      <c r="J73" s="207">
        <f>F73/D73*100</f>
        <v>9.22549939670197</v>
      </c>
      <c r="K73" s="207">
        <f>F73-2467.51</f>
        <v>-1779.38</v>
      </c>
      <c r="L73" s="207">
        <f>F73/2467.51*100</f>
        <v>27.887627608398745</v>
      </c>
      <c r="M73" s="204">
        <f>E73-квітень!E69</f>
        <v>317.0999999999999</v>
      </c>
      <c r="N73" s="208">
        <f>F73-квітень!F69</f>
        <v>215.87</v>
      </c>
      <c r="O73" s="207">
        <f t="shared" si="16"/>
        <v>-101.2299999999999</v>
      </c>
      <c r="P73" s="207">
        <f>N73/M73*100</f>
        <v>68.076316619363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4"/>
        <v>7622.539999999999</v>
      </c>
      <c r="H74" s="204">
        <f>F74/E74*100</f>
        <v>611.2881913002649</v>
      </c>
      <c r="I74" s="207">
        <f t="shared" si="15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6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4"/>
        <v>0</v>
      </c>
      <c r="H75" s="204">
        <f>F75/E75*100</f>
        <v>100</v>
      </c>
      <c r="I75" s="207">
        <f t="shared" si="15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6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10848.49</v>
      </c>
      <c r="G76" s="226">
        <f t="shared" si="14"/>
        <v>6488.530000000001</v>
      </c>
      <c r="H76" s="227">
        <f>F76/E76*100</f>
        <v>248.8208607418417</v>
      </c>
      <c r="I76" s="228">
        <f t="shared" si="15"/>
        <v>-6822.51</v>
      </c>
      <c r="J76" s="228">
        <f>F76/D76*100</f>
        <v>61.39148888008602</v>
      </c>
      <c r="K76" s="228">
        <f>F76-4329.67</f>
        <v>6518.82</v>
      </c>
      <c r="L76" s="228">
        <f>F76/4329.67*100</f>
        <v>250.5615901442835</v>
      </c>
      <c r="M76" s="226">
        <f>M72+M73+M74+M75</f>
        <v>1166.5</v>
      </c>
      <c r="N76" s="230">
        <f>N72+N73+N74+N75</f>
        <v>1261.2699999999995</v>
      </c>
      <c r="O76" s="228">
        <f t="shared" si="16"/>
        <v>94.76999999999953</v>
      </c>
      <c r="P76" s="228">
        <f>N76/M76*100</f>
        <v>108.12430347192452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3.19</v>
      </c>
      <c r="G77" s="202">
        <f t="shared" si="14"/>
        <v>3.19</v>
      </c>
      <c r="H77" s="204"/>
      <c r="I77" s="207">
        <f t="shared" si="15"/>
        <v>2.19</v>
      </c>
      <c r="J77" s="207"/>
      <c r="K77" s="207">
        <f>F77-0</f>
        <v>3.19</v>
      </c>
      <c r="L77" s="207"/>
      <c r="M77" s="204">
        <f>E77-квітень!E73</f>
        <v>0</v>
      </c>
      <c r="N77" s="208">
        <f>F77-квітень!F73</f>
        <v>0.1299999999999999</v>
      </c>
      <c r="O77" s="207">
        <f t="shared" si="16"/>
        <v>0.1299999999999999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4"/>
        <v>0</v>
      </c>
      <c r="H78" s="204"/>
      <c r="I78" s="207">
        <f t="shared" si="15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6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4887.56</v>
      </c>
      <c r="G79" s="202">
        <f t="shared" si="14"/>
        <v>-229.4399999999996</v>
      </c>
      <c r="H79" s="204">
        <f>F79/E79*100</f>
        <v>95.51612272816104</v>
      </c>
      <c r="I79" s="207">
        <f t="shared" si="15"/>
        <v>-4612.44</v>
      </c>
      <c r="J79" s="207">
        <f>F79/D79*100</f>
        <v>51.44800000000001</v>
      </c>
      <c r="K79" s="207">
        <f>F79-0</f>
        <v>4887.56</v>
      </c>
      <c r="L79" s="207"/>
      <c r="M79" s="204">
        <f>E79-квітень!E75</f>
        <v>3096.3</v>
      </c>
      <c r="N79" s="208">
        <f>F79-квітень!F75</f>
        <v>2852.0300000000007</v>
      </c>
      <c r="O79" s="207">
        <f>N79-M79</f>
        <v>-244.26999999999953</v>
      </c>
      <c r="P79" s="231">
        <f>N79/M79*100</f>
        <v>92.11090656590125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0.57</v>
      </c>
      <c r="G80" s="202">
        <f t="shared" si="14"/>
        <v>0.57</v>
      </c>
      <c r="H80" s="204"/>
      <c r="I80" s="207">
        <f t="shared" si="15"/>
        <v>0.57</v>
      </c>
      <c r="J80" s="207"/>
      <c r="K80" s="207">
        <f>F80-0.95</f>
        <v>-0.38</v>
      </c>
      <c r="L80" s="207">
        <f>F80/0.95*100</f>
        <v>60</v>
      </c>
      <c r="M80" s="204">
        <f>E80-квітень!E76</f>
        <v>0</v>
      </c>
      <c r="N80" s="208">
        <f>F80-квітень!F76</f>
        <v>0.04999999999999993</v>
      </c>
      <c r="O80" s="207">
        <f t="shared" si="16"/>
        <v>0.04999999999999993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4891.320000000001</v>
      </c>
      <c r="G81" s="224">
        <f>G77+G80+G78+G79</f>
        <v>-225.6799999999996</v>
      </c>
      <c r="H81" s="227">
        <f>F81/E81*100</f>
        <v>95.58960328317376</v>
      </c>
      <c r="I81" s="228">
        <f t="shared" si="15"/>
        <v>-4609.679999999999</v>
      </c>
      <c r="J81" s="228">
        <f>F81/D81*100</f>
        <v>51.482159772655514</v>
      </c>
      <c r="K81" s="228">
        <f>F81-0.95</f>
        <v>4890.370000000001</v>
      </c>
      <c r="L81" s="228">
        <f>F81/0.95*100</f>
        <v>514875.7894736843</v>
      </c>
      <c r="M81" s="226">
        <f>M77+M80+M78+M79</f>
        <v>3096.3</v>
      </c>
      <c r="N81" s="230">
        <f>N77+N80+N78+N79</f>
        <v>2852.2100000000005</v>
      </c>
      <c r="O81" s="226">
        <f>O77+O80+O78+O79</f>
        <v>-244.08999999999952</v>
      </c>
      <c r="P81" s="228">
        <f>N81/M81*100</f>
        <v>92.11671995607662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4"/>
        <v>-4.610000000000001</v>
      </c>
      <c r="H82" s="204">
        <f>F82/E82*100</f>
        <v>66.59420289855072</v>
      </c>
      <c r="I82" s="207">
        <f t="shared" si="15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6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6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15748.740000000002</v>
      </c>
      <c r="G84" s="233">
        <f>F84-E84</f>
        <v>6257.980000000003</v>
      </c>
      <c r="H84" s="234">
        <f>F84/E84*100</f>
        <v>165.9376066827104</v>
      </c>
      <c r="I84" s="235">
        <f>F84-D84</f>
        <v>-11466.259999999998</v>
      </c>
      <c r="J84" s="235">
        <f>F84/D84*100</f>
        <v>57.86786698511851</v>
      </c>
      <c r="K84" s="235">
        <f>F84-4325.48</f>
        <v>11423.260000000002</v>
      </c>
      <c r="L84" s="235">
        <f>F84/4325.48*100</f>
        <v>364.09230883046513</v>
      </c>
      <c r="M84" s="232">
        <f>M70+M82+M76+M81</f>
        <v>4263.46</v>
      </c>
      <c r="N84" s="232">
        <f>N70+N82+N76+N81+N83</f>
        <v>4108.99</v>
      </c>
      <c r="O84" s="235">
        <f t="shared" si="16"/>
        <v>-154.47000000000025</v>
      </c>
      <c r="P84" s="235">
        <f>N84/M84*100</f>
        <v>96.37688637866896</v>
      </c>
      <c r="Q84" s="28">
        <f>N84-8104.96</f>
        <v>-3995.9700000000003</v>
      </c>
      <c r="R84" s="101">
        <f>N84/8104.96</f>
        <v>0.5069722737681617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389271.9</v>
      </c>
      <c r="G85" s="233">
        <f>F85-E85</f>
        <v>9527.729999999981</v>
      </c>
      <c r="H85" s="234">
        <f>F85/E85*100</f>
        <v>102.50898651057632</v>
      </c>
      <c r="I85" s="235">
        <f>F85-D85</f>
        <v>-521843.69999999995</v>
      </c>
      <c r="J85" s="235">
        <f>F85/D85*100</f>
        <v>42.72475413657719</v>
      </c>
      <c r="K85" s="235">
        <f>F85-265734.15-4325.48</f>
        <v>119212.27</v>
      </c>
      <c r="L85" s="235">
        <f>F85/(265734.15+4325.48)*100</f>
        <v>144.1429435417652</v>
      </c>
      <c r="M85" s="233">
        <f>M63+M84</f>
        <v>88588.56000000003</v>
      </c>
      <c r="N85" s="233">
        <f>N63+N84</f>
        <v>66727.00600000001</v>
      </c>
      <c r="O85" s="235">
        <f t="shared" si="16"/>
        <v>-21861.55400000002</v>
      </c>
      <c r="P85" s="235">
        <f>N85/M85*100</f>
        <v>75.32237345318626</v>
      </c>
      <c r="Q85" s="28">
        <f>N85-42872.96</f>
        <v>23854.04600000001</v>
      </c>
      <c r="R85" s="101">
        <f>N85/42872.96</f>
        <v>1.556389062010181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4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5426.771000000004</v>
      </c>
      <c r="D88" s="4" t="s">
        <v>24</v>
      </c>
      <c r="G88" s="261"/>
      <c r="H88" s="261"/>
      <c r="I88" s="261"/>
      <c r="J88" s="261"/>
      <c r="K88" s="90"/>
      <c r="L88" s="90"/>
      <c r="P88" s="26"/>
      <c r="Q88" s="26"/>
    </row>
    <row r="89" spans="2:15" ht="34.5" customHeight="1">
      <c r="B89" s="58" t="s">
        <v>56</v>
      </c>
      <c r="C89" s="87">
        <v>42515</v>
      </c>
      <c r="D89" s="31">
        <v>4114.2</v>
      </c>
      <c r="G89" s="4" t="s">
        <v>59</v>
      </c>
      <c r="N89" s="254"/>
      <c r="O89" s="254"/>
    </row>
    <row r="90" spans="3:15" ht="15">
      <c r="C90" s="87">
        <v>42514</v>
      </c>
      <c r="D90" s="31">
        <v>3638.2</v>
      </c>
      <c r="F90" s="124" t="s">
        <v>59</v>
      </c>
      <c r="G90" s="248"/>
      <c r="H90" s="248"/>
      <c r="I90" s="131"/>
      <c r="J90" s="251"/>
      <c r="K90" s="251"/>
      <c r="L90" s="251"/>
      <c r="M90" s="251"/>
      <c r="N90" s="254"/>
      <c r="O90" s="254"/>
    </row>
    <row r="91" spans="3:15" ht="15.75" customHeight="1">
      <c r="C91" s="87">
        <v>42513</v>
      </c>
      <c r="D91" s="31">
        <v>3884</v>
      </c>
      <c r="F91" s="73"/>
      <c r="G91" s="248"/>
      <c r="H91" s="248"/>
      <c r="I91" s="131"/>
      <c r="J91" s="255"/>
      <c r="K91" s="255"/>
      <c r="L91" s="255"/>
      <c r="M91" s="255"/>
      <c r="N91" s="254"/>
      <c r="O91" s="254"/>
    </row>
    <row r="92" spans="3:13" ht="15.75" customHeight="1">
      <c r="C92" s="87"/>
      <c r="F92" s="73"/>
      <c r="G92" s="250"/>
      <c r="H92" s="250"/>
      <c r="I92" s="139"/>
      <c r="J92" s="251"/>
      <c r="K92" s="251"/>
      <c r="L92" s="251"/>
      <c r="M92" s="251"/>
    </row>
    <row r="93" spans="2:13" ht="18.75" customHeight="1">
      <c r="B93" s="252" t="s">
        <v>57</v>
      </c>
      <c r="C93" s="253"/>
      <c r="D93" s="148">
        <v>9.79092</v>
      </c>
      <c r="E93" s="74"/>
      <c r="F93" s="140" t="s">
        <v>137</v>
      </c>
      <c r="G93" s="248"/>
      <c r="H93" s="248"/>
      <c r="I93" s="141"/>
      <c r="J93" s="251"/>
      <c r="K93" s="251"/>
      <c r="L93" s="251"/>
      <c r="M93" s="251"/>
    </row>
    <row r="94" spans="6:12" ht="9.75" customHeight="1">
      <c r="F94" s="73"/>
      <c r="G94" s="248"/>
      <c r="H94" s="248"/>
      <c r="I94" s="73"/>
      <c r="J94" s="74"/>
      <c r="K94" s="74"/>
      <c r="L94" s="74"/>
    </row>
    <row r="95" spans="2:12" ht="22.5" customHeight="1" hidden="1">
      <c r="B95" s="246" t="s">
        <v>60</v>
      </c>
      <c r="C95" s="247"/>
      <c r="D95" s="86">
        <v>0</v>
      </c>
      <c r="E95" s="56" t="s">
        <v>24</v>
      </c>
      <c r="F95" s="73"/>
      <c r="G95" s="248"/>
      <c r="H95" s="248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93.45</v>
      </c>
      <c r="G96" s="74"/>
      <c r="H96" s="74"/>
      <c r="I96" s="74"/>
      <c r="N96" s="248"/>
      <c r="O96" s="248"/>
    </row>
    <row r="97" spans="4:15" ht="15">
      <c r="D97" s="83"/>
      <c r="I97" s="31"/>
      <c r="N97" s="249"/>
      <c r="O97" s="249"/>
    </row>
    <row r="98" spans="14:15" ht="15">
      <c r="N98" s="248"/>
      <c r="O98" s="248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4" sqref="E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153</v>
      </c>
      <c r="N3" s="279" t="s">
        <v>154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150</v>
      </c>
      <c r="F4" s="262" t="s">
        <v>34</v>
      </c>
      <c r="G4" s="256" t="s">
        <v>151</v>
      </c>
      <c r="H4" s="264" t="s">
        <v>152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157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155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1"/>
      <c r="H84" s="261"/>
      <c r="I84" s="261"/>
      <c r="J84" s="261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4"/>
      <c r="O85" s="254"/>
    </row>
    <row r="86" spans="3:15" ht="15">
      <c r="C86" s="87">
        <v>42488</v>
      </c>
      <c r="D86" s="31">
        <v>11419.7</v>
      </c>
      <c r="F86" s="124" t="s">
        <v>59</v>
      </c>
      <c r="G86" s="248"/>
      <c r="H86" s="248"/>
      <c r="I86" s="131"/>
      <c r="J86" s="251"/>
      <c r="K86" s="251"/>
      <c r="L86" s="251"/>
      <c r="M86" s="251"/>
      <c r="N86" s="254"/>
      <c r="O86" s="254"/>
    </row>
    <row r="87" spans="3:15" ht="15.75" customHeight="1">
      <c r="C87" s="87">
        <v>42487</v>
      </c>
      <c r="D87" s="31">
        <v>7800.7</v>
      </c>
      <c r="F87" s="73"/>
      <c r="G87" s="248"/>
      <c r="H87" s="248"/>
      <c r="I87" s="131"/>
      <c r="J87" s="255"/>
      <c r="K87" s="255"/>
      <c r="L87" s="255"/>
      <c r="M87" s="255"/>
      <c r="N87" s="254"/>
      <c r="O87" s="254"/>
    </row>
    <row r="88" spans="3:13" ht="15.75" customHeight="1">
      <c r="C88" s="87"/>
      <c r="F88" s="73"/>
      <c r="G88" s="250"/>
      <c r="H88" s="250"/>
      <c r="I88" s="139"/>
      <c r="J88" s="251"/>
      <c r="K88" s="251"/>
      <c r="L88" s="251"/>
      <c r="M88" s="251"/>
    </row>
    <row r="89" spans="2:13" ht="18.75" customHeight="1">
      <c r="B89" s="252" t="s">
        <v>57</v>
      </c>
      <c r="C89" s="253"/>
      <c r="D89" s="148">
        <v>9087.9705</v>
      </c>
      <c r="E89" s="74"/>
      <c r="F89" s="140" t="s">
        <v>137</v>
      </c>
      <c r="G89" s="248"/>
      <c r="H89" s="248"/>
      <c r="I89" s="141"/>
      <c r="J89" s="251"/>
      <c r="K89" s="251"/>
      <c r="L89" s="251"/>
      <c r="M89" s="251"/>
    </row>
    <row r="90" spans="6:12" ht="9.75" customHeight="1">
      <c r="F90" s="73"/>
      <c r="G90" s="248"/>
      <c r="H90" s="248"/>
      <c r="I90" s="73"/>
      <c r="J90" s="74"/>
      <c r="K90" s="74"/>
      <c r="L90" s="74"/>
    </row>
    <row r="91" spans="2:12" ht="22.5" customHeight="1" hidden="1">
      <c r="B91" s="246" t="s">
        <v>60</v>
      </c>
      <c r="C91" s="247"/>
      <c r="D91" s="86">
        <v>0</v>
      </c>
      <c r="E91" s="56" t="s">
        <v>24</v>
      </c>
      <c r="F91" s="73"/>
      <c r="G91" s="248"/>
      <c r="H91" s="24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8"/>
      <c r="O92" s="248"/>
    </row>
    <row r="93" spans="4:15" ht="15">
      <c r="D93" s="83"/>
      <c r="I93" s="31"/>
      <c r="N93" s="249"/>
      <c r="O93" s="249"/>
    </row>
    <row r="94" spans="14:15" ht="15">
      <c r="N94" s="248"/>
      <c r="O94" s="24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8" t="s">
        <v>148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78" t="s">
        <v>147</v>
      </c>
      <c r="N3" s="279" t="s">
        <v>143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146</v>
      </c>
      <c r="F4" s="262" t="s">
        <v>34</v>
      </c>
      <c r="G4" s="256" t="s">
        <v>141</v>
      </c>
      <c r="H4" s="264" t="s">
        <v>142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149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8.7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144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4"/>
      <c r="O84" s="254"/>
    </row>
    <row r="85" spans="3:15" ht="15">
      <c r="C85" s="87">
        <v>42459</v>
      </c>
      <c r="D85" s="31">
        <v>7576.3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42458</v>
      </c>
      <c r="D86" s="31">
        <v>9190.1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f>4343.7</f>
        <v>4343.7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/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2" t="s">
        <v>128</v>
      </c>
      <c r="N3" s="279" t="s">
        <v>119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127</v>
      </c>
      <c r="F4" s="262" t="s">
        <v>34</v>
      </c>
      <c r="G4" s="256" t="s">
        <v>116</v>
      </c>
      <c r="H4" s="264" t="s">
        <v>117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66" t="s">
        <v>140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118</v>
      </c>
      <c r="L5" s="260"/>
      <c r="M5" s="265"/>
      <c r="N5" s="267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4"/>
      <c r="O84" s="254"/>
    </row>
    <row r="85" spans="3:15" ht="15">
      <c r="C85" s="87">
        <v>42426</v>
      </c>
      <c r="D85" s="31">
        <v>6256.2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42425</v>
      </c>
      <c r="D86" s="31">
        <v>3536.9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505.3</v>
      </c>
      <c r="E88" s="74"/>
      <c r="F88" s="140" t="s">
        <v>137</v>
      </c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135</v>
      </c>
      <c r="C3" s="273" t="s">
        <v>0</v>
      </c>
      <c r="D3" s="274" t="s">
        <v>121</v>
      </c>
      <c r="E3" s="34"/>
      <c r="F3" s="275" t="s">
        <v>26</v>
      </c>
      <c r="G3" s="276"/>
      <c r="H3" s="276"/>
      <c r="I3" s="276"/>
      <c r="J3" s="277"/>
      <c r="K3" s="89"/>
      <c r="L3" s="89"/>
      <c r="M3" s="282" t="s">
        <v>132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129</v>
      </c>
      <c r="F4" s="262" t="s">
        <v>34</v>
      </c>
      <c r="G4" s="256" t="s">
        <v>130</v>
      </c>
      <c r="H4" s="264" t="s">
        <v>131</v>
      </c>
      <c r="I4" s="256" t="s">
        <v>122</v>
      </c>
      <c r="J4" s="264" t="s">
        <v>123</v>
      </c>
      <c r="K4" s="91" t="s">
        <v>65</v>
      </c>
      <c r="L4" s="96" t="s">
        <v>64</v>
      </c>
      <c r="M4" s="264"/>
      <c r="N4" s="283" t="s">
        <v>133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92.25" customHeight="1">
      <c r="A5" s="271"/>
      <c r="B5" s="272"/>
      <c r="C5" s="273"/>
      <c r="D5" s="274"/>
      <c r="E5" s="281"/>
      <c r="F5" s="263"/>
      <c r="G5" s="257"/>
      <c r="H5" s="265"/>
      <c r="I5" s="257"/>
      <c r="J5" s="265"/>
      <c r="K5" s="259" t="s">
        <v>134</v>
      </c>
      <c r="L5" s="260"/>
      <c r="M5" s="265"/>
      <c r="N5" s="284"/>
      <c r="O5" s="257"/>
      <c r="P5" s="258"/>
      <c r="Q5" s="259" t="s">
        <v>120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1"/>
      <c r="H83" s="261"/>
      <c r="I83" s="261"/>
      <c r="J83" s="261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4"/>
      <c r="O84" s="254"/>
    </row>
    <row r="85" spans="3:15" ht="15">
      <c r="C85" s="87">
        <v>42397</v>
      </c>
      <c r="D85" s="31">
        <v>8685</v>
      </c>
      <c r="F85" s="124" t="s">
        <v>59</v>
      </c>
      <c r="G85" s="248"/>
      <c r="H85" s="248"/>
      <c r="I85" s="131"/>
      <c r="J85" s="251"/>
      <c r="K85" s="251"/>
      <c r="L85" s="251"/>
      <c r="M85" s="251"/>
      <c r="N85" s="254"/>
      <c r="O85" s="254"/>
    </row>
    <row r="86" spans="3:15" ht="15.75" customHeight="1">
      <c r="C86" s="87">
        <v>42396</v>
      </c>
      <c r="D86" s="31">
        <v>4820.3</v>
      </c>
      <c r="F86" s="73"/>
      <c r="G86" s="248"/>
      <c r="H86" s="248"/>
      <c r="I86" s="131"/>
      <c r="J86" s="255"/>
      <c r="K86" s="255"/>
      <c r="L86" s="255"/>
      <c r="M86" s="255"/>
      <c r="N86" s="254"/>
      <c r="O86" s="254"/>
    </row>
    <row r="87" spans="3:13" ht="15.75" customHeight="1">
      <c r="C87" s="87"/>
      <c r="F87" s="73"/>
      <c r="G87" s="250"/>
      <c r="H87" s="250"/>
      <c r="I87" s="139"/>
      <c r="J87" s="251"/>
      <c r="K87" s="251"/>
      <c r="L87" s="251"/>
      <c r="M87" s="251"/>
    </row>
    <row r="88" spans="2:13" ht="18.75" customHeight="1">
      <c r="B88" s="252" t="s">
        <v>57</v>
      </c>
      <c r="C88" s="253"/>
      <c r="D88" s="148">
        <v>300.92</v>
      </c>
      <c r="E88" s="74"/>
      <c r="F88" s="140"/>
      <c r="G88" s="248"/>
      <c r="H88" s="248"/>
      <c r="I88" s="141"/>
      <c r="J88" s="251"/>
      <c r="K88" s="251"/>
      <c r="L88" s="251"/>
      <c r="M88" s="251"/>
    </row>
    <row r="89" spans="6:12" ht="9.75" customHeight="1">
      <c r="F89" s="73"/>
      <c r="G89" s="248"/>
      <c r="H89" s="248"/>
      <c r="I89" s="73"/>
      <c r="J89" s="74"/>
      <c r="K89" s="74"/>
      <c r="L89" s="74"/>
    </row>
    <row r="90" spans="2:12" ht="22.5" customHeight="1" hidden="1">
      <c r="B90" s="246" t="s">
        <v>60</v>
      </c>
      <c r="C90" s="247"/>
      <c r="D90" s="86">
        <v>0</v>
      </c>
      <c r="E90" s="56" t="s">
        <v>24</v>
      </c>
      <c r="F90" s="73"/>
      <c r="G90" s="248"/>
      <c r="H90" s="24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8"/>
      <c r="O91" s="248"/>
    </row>
    <row r="92" spans="4:15" ht="15">
      <c r="D92" s="83"/>
      <c r="I92" s="31"/>
      <c r="N92" s="249"/>
      <c r="O92" s="249"/>
    </row>
    <row r="93" spans="14:15" ht="15">
      <c r="N93" s="248"/>
      <c r="O93" s="24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8" t="s">
        <v>114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92"/>
      <c r="R1" s="93"/>
    </row>
    <row r="2" spans="2:18" s="1" customFormat="1" ht="15.75" customHeight="1">
      <c r="B2" s="269"/>
      <c r="C2" s="269"/>
      <c r="D2" s="269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0"/>
      <c r="B3" s="272" t="s">
        <v>136</v>
      </c>
      <c r="C3" s="273" t="s">
        <v>0</v>
      </c>
      <c r="D3" s="274" t="s">
        <v>115</v>
      </c>
      <c r="E3" s="34"/>
      <c r="F3" s="275" t="s">
        <v>26</v>
      </c>
      <c r="G3" s="276"/>
      <c r="H3" s="276"/>
      <c r="I3" s="276"/>
      <c r="J3" s="277"/>
      <c r="K3" s="89"/>
      <c r="L3" s="89"/>
      <c r="M3" s="282" t="s">
        <v>107</v>
      </c>
      <c r="N3" s="279" t="s">
        <v>66</v>
      </c>
      <c r="O3" s="279"/>
      <c r="P3" s="279"/>
      <c r="Q3" s="279"/>
      <c r="R3" s="279"/>
    </row>
    <row r="4" spans="1:18" ht="22.5" customHeight="1">
      <c r="A4" s="270"/>
      <c r="B4" s="272"/>
      <c r="C4" s="273"/>
      <c r="D4" s="274"/>
      <c r="E4" s="280" t="s">
        <v>104</v>
      </c>
      <c r="F4" s="285" t="s">
        <v>34</v>
      </c>
      <c r="G4" s="256" t="s">
        <v>109</v>
      </c>
      <c r="H4" s="264" t="s">
        <v>110</v>
      </c>
      <c r="I4" s="256" t="s">
        <v>105</v>
      </c>
      <c r="J4" s="264" t="s">
        <v>106</v>
      </c>
      <c r="K4" s="91" t="s">
        <v>65</v>
      </c>
      <c r="L4" s="96" t="s">
        <v>64</v>
      </c>
      <c r="M4" s="264"/>
      <c r="N4" s="283" t="s">
        <v>103</v>
      </c>
      <c r="O4" s="256" t="s">
        <v>50</v>
      </c>
      <c r="P4" s="258" t="s">
        <v>49</v>
      </c>
      <c r="Q4" s="97" t="s">
        <v>65</v>
      </c>
      <c r="R4" s="98" t="s">
        <v>64</v>
      </c>
    </row>
    <row r="5" spans="1:18" ht="76.5" customHeight="1">
      <c r="A5" s="271"/>
      <c r="B5" s="272"/>
      <c r="C5" s="273"/>
      <c r="D5" s="274"/>
      <c r="E5" s="281"/>
      <c r="F5" s="286"/>
      <c r="G5" s="257"/>
      <c r="H5" s="265"/>
      <c r="I5" s="257"/>
      <c r="J5" s="265"/>
      <c r="K5" s="259" t="s">
        <v>108</v>
      </c>
      <c r="L5" s="260"/>
      <c r="M5" s="265"/>
      <c r="N5" s="284"/>
      <c r="O5" s="257"/>
      <c r="P5" s="258"/>
      <c r="Q5" s="259" t="s">
        <v>126</v>
      </c>
      <c r="R5" s="26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1"/>
      <c r="H82" s="261"/>
      <c r="I82" s="261"/>
      <c r="J82" s="261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4"/>
      <c r="O83" s="254"/>
    </row>
    <row r="84" spans="3:15" ht="15">
      <c r="C84" s="87">
        <v>42397</v>
      </c>
      <c r="D84" s="31">
        <v>8685</v>
      </c>
      <c r="F84" s="166" t="s">
        <v>59</v>
      </c>
      <c r="G84" s="248"/>
      <c r="H84" s="248"/>
      <c r="I84" s="131"/>
      <c r="J84" s="251"/>
      <c r="K84" s="251"/>
      <c r="L84" s="251"/>
      <c r="M84" s="251"/>
      <c r="N84" s="254"/>
      <c r="O84" s="254"/>
    </row>
    <row r="85" spans="3:15" ht="15.75" customHeight="1">
      <c r="C85" s="87">
        <v>42396</v>
      </c>
      <c r="D85" s="31">
        <v>4820.3</v>
      </c>
      <c r="F85" s="167"/>
      <c r="G85" s="248"/>
      <c r="H85" s="248"/>
      <c r="I85" s="131"/>
      <c r="J85" s="255"/>
      <c r="K85" s="255"/>
      <c r="L85" s="255"/>
      <c r="M85" s="255"/>
      <c r="N85" s="254"/>
      <c r="O85" s="254"/>
    </row>
    <row r="86" spans="3:13" ht="15.75" customHeight="1">
      <c r="C86" s="87"/>
      <c r="F86" s="167"/>
      <c r="G86" s="250"/>
      <c r="H86" s="250"/>
      <c r="I86" s="139"/>
      <c r="J86" s="251"/>
      <c r="K86" s="251"/>
      <c r="L86" s="251"/>
      <c r="M86" s="251"/>
    </row>
    <row r="87" spans="2:13" ht="18.75" customHeight="1">
      <c r="B87" s="252" t="s">
        <v>57</v>
      </c>
      <c r="C87" s="253"/>
      <c r="D87" s="148">
        <v>300.92</v>
      </c>
      <c r="E87" s="74"/>
      <c r="F87" s="168"/>
      <c r="G87" s="248"/>
      <c r="H87" s="248"/>
      <c r="I87" s="141"/>
      <c r="J87" s="251"/>
      <c r="K87" s="251"/>
      <c r="L87" s="251"/>
      <c r="M87" s="251"/>
    </row>
    <row r="88" spans="6:12" ht="9.75" customHeight="1">
      <c r="F88" s="167"/>
      <c r="G88" s="248"/>
      <c r="H88" s="248"/>
      <c r="I88" s="73"/>
      <c r="J88" s="74"/>
      <c r="K88" s="74"/>
      <c r="L88" s="74"/>
    </row>
    <row r="89" spans="2:12" ht="22.5" customHeight="1" hidden="1">
      <c r="B89" s="246" t="s">
        <v>60</v>
      </c>
      <c r="C89" s="247"/>
      <c r="D89" s="86">
        <v>0</v>
      </c>
      <c r="E89" s="56" t="s">
        <v>24</v>
      </c>
      <c r="F89" s="167"/>
      <c r="G89" s="248"/>
      <c r="H89" s="24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8"/>
      <c r="O90" s="248"/>
    </row>
    <row r="91" spans="4:15" ht="15">
      <c r="D91" s="83"/>
      <c r="I91" s="31"/>
      <c r="N91" s="249"/>
      <c r="O91" s="249"/>
    </row>
    <row r="92" spans="14:15" ht="15">
      <c r="N92" s="248"/>
      <c r="O92" s="24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2016-05-26T07:47:49Z</cp:lastPrinted>
  <dcterms:created xsi:type="dcterms:W3CDTF">2003-07-28T11:27:56Z</dcterms:created>
  <dcterms:modified xsi:type="dcterms:W3CDTF">2016-05-26T14:12:21Z</dcterms:modified>
  <cp:category/>
  <cp:version/>
  <cp:contentType/>
  <cp:contentStatus/>
</cp:coreProperties>
</file>